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<sst xmlns="http://schemas.openxmlformats.org/spreadsheetml/2006/main" count="162" uniqueCount="113">
  <si>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</si>
  <si>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</si>
  <si>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</si>
  <si>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</si>
  <si>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</si>
  <si>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</si>
  <si>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</si>
  <si>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</si>
  <si>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</si>
  <si>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</si>
  <si>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</si>
  <si>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</si>
  <si>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</si>
  <si>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</si>
  <si>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</si>
  <si>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</si>
  <si>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</si>
  <si>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</si>
  <si>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</si>
  <si>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</si>
  <si>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</si>
  <si>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</si>
  <si>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</si>
  <si>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</si>
  <si>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</si>
  <si>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</si>
  <si>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</si>
  <si>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</si>
  <si>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</si>
  <si>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</si>
  <si>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</si>
  <si>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</si>
  <si>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</si>
  <si>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</si>
  <si>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</si>
  <si>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</si>
  <si>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</si>
  <si>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</si>
  <si>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</si>
  <si>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</si>
  <si>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</si>
  <si>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</si>
  <si>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</si>
  <si>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</si>
  <si>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</si>
  <si>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</si>
  <si>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</si>
  <si>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</si>
  <si>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</si>
  <si>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</si>
  <si>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</si>
  <si>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</si>
  <si>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</si>
  <si>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</si>
  <si>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</si>
  <si>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</si>
  <si>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</si>
  <si>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</si>
  <si>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</si>
  <si>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</si>
  <si>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</si>
  <si>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</si>
  <si>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</si>
  <si>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</si>
  <si>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</si>
  <si>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</si>
  <si>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</si>
  <si>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</si>
  <si>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</si>
  <si>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</si>
  <si>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</si>
  <si>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</si>
  <si>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</si>
  <si>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</si>
  <si>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</si>
  <si>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</si>
  <si>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</si>
  <si>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</si>
  <si>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</si>
  <si>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</si>
  <si>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</si>
  <si>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</si>
  <si>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</si>
  <si>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</si>
  <si>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</si>
  <si>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</si>
  <si>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</si>
  <si>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</si>
  <si>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</si>
  <si>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</si>
  <si>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</si>
  <si>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</si>
  <si>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</si>
  <si>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</si>
  <si>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</si>
  <si>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</si>
  <si>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</si>
  <si>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</si>
  <si>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</si>
  <si>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</si>
  <si>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</si>
  <si>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</si>
  <si>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</si>
  <si>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</si>
  <si>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</si>
  <si>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</si>
  <si>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</si>
  <si>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</si>
  <si>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</si>
  <si>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</si>
  <si>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</si>
  <si>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</si>
  <si>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Аналіз використання коштів міського бюджету за 2016 рік станом на 03.10.2016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</si>
</sst>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6463072"/>
        <c:axId val="58167649"/>
      </c:bar3DChart>
      <c:catAx>
        <c:axId val="646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167649"/>
        <c:crosses val="autoZero"/>
        <c:auto val="1"/>
        <c:lblOffset val="100"/>
        <c:tickLblSkip val="1"/>
        <c:noMultiLvlLbl val="0"/>
      </c:catAx>
      <c:valAx>
        <c:axId val="58167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30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53746794"/>
        <c:axId val="13959099"/>
      </c:bar3DChart>
      <c:catAx>
        <c:axId val="5374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59099"/>
        <c:crosses val="autoZero"/>
        <c:auto val="1"/>
        <c:lblOffset val="100"/>
        <c:tickLblSkip val="1"/>
        <c:noMultiLvlLbl val="0"/>
      </c:catAx>
      <c:valAx>
        <c:axId val="13959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46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58523028"/>
        <c:axId val="56945205"/>
      </c:bar3DChart>
      <c:catAx>
        <c:axId val="5852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45205"/>
        <c:crosses val="autoZero"/>
        <c:auto val="1"/>
        <c:lblOffset val="100"/>
        <c:tickLblSkip val="1"/>
        <c:noMultiLvlLbl val="0"/>
      </c:catAx>
      <c:valAx>
        <c:axId val="569452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230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42744798"/>
        <c:axId val="49158863"/>
      </c:bar3DChart>
      <c:catAx>
        <c:axId val="42744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158863"/>
        <c:crosses val="autoZero"/>
        <c:auto val="1"/>
        <c:lblOffset val="100"/>
        <c:tickLblSkip val="1"/>
        <c:noMultiLvlLbl val="0"/>
      </c:catAx>
      <c:valAx>
        <c:axId val="49158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44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39776584"/>
        <c:axId val="22444937"/>
      </c:bar3DChart>
      <c:catAx>
        <c:axId val="3977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44937"/>
        <c:crosses val="autoZero"/>
        <c:auto val="1"/>
        <c:lblOffset val="100"/>
        <c:tickLblSkip val="2"/>
        <c:noMultiLvlLbl val="0"/>
      </c:catAx>
      <c:valAx>
        <c:axId val="22444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76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677842"/>
        <c:axId val="6100579"/>
      </c:bar3DChart>
      <c:catAx>
        <c:axId val="67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0579"/>
        <c:crosses val="autoZero"/>
        <c:auto val="1"/>
        <c:lblOffset val="100"/>
        <c:tickLblSkip val="1"/>
        <c:noMultiLvlLbl val="0"/>
      </c:catAx>
      <c:valAx>
        <c:axId val="6100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78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54905212"/>
        <c:axId val="24384861"/>
      </c:bar3DChart>
      <c:catAx>
        <c:axId val="54905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384861"/>
        <c:crosses val="autoZero"/>
        <c:auto val="1"/>
        <c:lblOffset val="100"/>
        <c:tickLblSkip val="1"/>
        <c:noMultiLvlLbl val="0"/>
      </c:catAx>
      <c:valAx>
        <c:axId val="24384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052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18137158"/>
        <c:axId val="29016695"/>
      </c:bar3DChart>
      <c:catAx>
        <c:axId val="1813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16695"/>
        <c:crosses val="autoZero"/>
        <c:auto val="1"/>
        <c:lblOffset val="100"/>
        <c:tickLblSkip val="1"/>
        <c:noMultiLvlLbl val="0"/>
      </c:catAx>
      <c:valAx>
        <c:axId val="29016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371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59823664"/>
        <c:axId val="1542065"/>
      </c:bar3DChart>
      <c:catAx>
        <c:axId val="59823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2065"/>
        <c:crosses val="autoZero"/>
        <c:auto val="1"/>
        <c:lblOffset val="100"/>
        <c:tickLblSkip val="1"/>
        <c:noMultiLvlLbl val="0"/>
      </c:catAx>
      <c:valAx>
        <c:axId val="15420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23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4" sqref="B64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8" t="s">
        <v>112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109</v>
      </c>
      <c r="C3" s="129" t="s">
        <v>101</v>
      </c>
      <c r="D3" s="129" t="s">
        <v>23</v>
      </c>
      <c r="E3" s="129" t="s">
        <v>22</v>
      </c>
      <c r="F3" s="129" t="s">
        <v>110</v>
      </c>
      <c r="G3" s="129" t="s">
        <v>103</v>
      </c>
      <c r="H3" s="129" t="s">
        <v>111</v>
      </c>
      <c r="I3" s="129" t="s">
        <v>102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v>364321.4</v>
      </c>
      <c r="C6" s="46">
        <f>426773.1+25+188.4+2200.9+6.1-1051.6+141.1+593.1+16568.5+4904.2</f>
        <v>450348.8</v>
      </c>
      <c r="D6" s="47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+253.2+325.6+45.4+5613.3+450.2+4414.7+121+0.2+0.1+58.8+336.6+2.1+8.9+280+11704.8+125.6+58.7+382.5+147.7+519.1+967+6414+7849+734.9-0.1+489-43.6</f>
        <v>296483.2</v>
      </c>
      <c r="E6" s="3">
        <f>D6/D150*100</f>
        <v>27.319021040892494</v>
      </c>
      <c r="F6" s="3">
        <f>D6/B6*100</f>
        <v>81.37957309123209</v>
      </c>
      <c r="G6" s="3">
        <f aca="true" t="shared" si="0" ref="G6:G43">D6/C6*100</f>
        <v>65.83412679238847</v>
      </c>
      <c r="H6" s="47">
        <f>B6-D6</f>
        <v>67838.20000000001</v>
      </c>
      <c r="I6" s="47">
        <f aca="true" t="shared" si="1" ref="I6:I43">C6-D6</f>
        <v>153865.59999999998</v>
      </c>
    </row>
    <row r="7" spans="1:9" s="37" customFormat="1" ht="18.75">
      <c r="A7" s="104" t="s">
        <v>87</v>
      </c>
      <c r="B7" s="97">
        <v>157102.6</v>
      </c>
      <c r="C7" s="94">
        <f>185717.4+2200.9+593.1-613.8</f>
        <v>187897.6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</f>
        <v>129866</v>
      </c>
      <c r="E7" s="95">
        <f>D7/D6*100</f>
        <v>43.80214460718179</v>
      </c>
      <c r="F7" s="95">
        <f>D7/B7*100</f>
        <v>82.66317680293007</v>
      </c>
      <c r="G7" s="95">
        <f>D7/C7*100</f>
        <v>69.1153053578119</v>
      </c>
      <c r="H7" s="105">
        <f>B7-D7</f>
        <v>27236.600000000006</v>
      </c>
      <c r="I7" s="105">
        <f t="shared" si="1"/>
        <v>58031.600000000006</v>
      </c>
    </row>
    <row r="8" spans="1:9" ht="18">
      <c r="A8" s="23" t="s">
        <v>3</v>
      </c>
      <c r="B8" s="42">
        <v>257328.3</v>
      </c>
      <c r="C8" s="43">
        <f>298081.6+593.1+13792.1</f>
        <v>312466.79999999993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</f>
        <v>227218.49999999988</v>
      </c>
      <c r="E8" s="1">
        <f>D8/D6*100</f>
        <v>76.63790056232524</v>
      </c>
      <c r="F8" s="1">
        <f>D8/B8*100</f>
        <v>88.29907165282633</v>
      </c>
      <c r="G8" s="1">
        <f t="shared" si="0"/>
        <v>72.7176455226603</v>
      </c>
      <c r="H8" s="44">
        <f>B8-D8</f>
        <v>30109.800000000105</v>
      </c>
      <c r="I8" s="44">
        <f t="shared" si="1"/>
        <v>85248.30000000005</v>
      </c>
    </row>
    <row r="9" spans="1:9" ht="18">
      <c r="A9" s="23" t="s">
        <v>2</v>
      </c>
      <c r="B9" s="42">
        <v>77.6</v>
      </c>
      <c r="C9" s="43">
        <v>85.7</v>
      </c>
      <c r="D9" s="44">
        <f>4+2.9+1.6+0.5+0.5+1.9+1.2+1.8+1.6+0.7+2+3.7+0.1+1.9+2.9+1.2+0.4+1.1+0.2+0.6+1.5+1.7+0.3+0.5+1.3-0.1+0.4+0.3+1.5+2.7</f>
        <v>40.89999999999999</v>
      </c>
      <c r="E9" s="12">
        <f>D9/D6*100</f>
        <v>0.013795048083668819</v>
      </c>
      <c r="F9" s="120">
        <f>D9/B9*100</f>
        <v>52.7061855670103</v>
      </c>
      <c r="G9" s="1">
        <f t="shared" si="0"/>
        <v>47.72462077012835</v>
      </c>
      <c r="H9" s="44">
        <f aca="true" t="shared" si="2" ref="H9:H43">B9-D9</f>
        <v>36.7</v>
      </c>
      <c r="I9" s="44">
        <f t="shared" si="1"/>
        <v>44.80000000000001</v>
      </c>
    </row>
    <row r="10" spans="1:9" ht="18">
      <c r="A10" s="23" t="s">
        <v>1</v>
      </c>
      <c r="B10" s="42">
        <v>25431.7</v>
      </c>
      <c r="C10" s="43">
        <f>28052.9-28-1051.6+141.1</f>
        <v>27114.4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</f>
        <v>18197.80000000001</v>
      </c>
      <c r="E10" s="1">
        <f>D10/D6*100</f>
        <v>6.137885721686763</v>
      </c>
      <c r="F10" s="1">
        <f aca="true" t="shared" si="3" ref="F10:F41">D10/B10*100</f>
        <v>71.55557827435842</v>
      </c>
      <c r="G10" s="1">
        <f t="shared" si="0"/>
        <v>67.11489098043847</v>
      </c>
      <c r="H10" s="44">
        <f t="shared" si="2"/>
        <v>7233.8999999999905</v>
      </c>
      <c r="I10" s="44">
        <f t="shared" si="1"/>
        <v>8916.599999999991</v>
      </c>
    </row>
    <row r="11" spans="1:9" ht="18">
      <c r="A11" s="23" t="s">
        <v>0</v>
      </c>
      <c r="B11" s="42">
        <v>55179.9</v>
      </c>
      <c r="C11" s="43">
        <f>71654.8+3326</f>
        <v>74980.8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</f>
        <v>32574.600000000002</v>
      </c>
      <c r="E11" s="1">
        <f>D11/D6*100</f>
        <v>10.986996902353996</v>
      </c>
      <c r="F11" s="1">
        <f t="shared" si="3"/>
        <v>59.03345239842769</v>
      </c>
      <c r="G11" s="1">
        <f t="shared" si="0"/>
        <v>43.443921643940854</v>
      </c>
      <c r="H11" s="44">
        <f t="shared" si="2"/>
        <v>22605.3</v>
      </c>
      <c r="I11" s="44">
        <f t="shared" si="1"/>
        <v>42406.2</v>
      </c>
    </row>
    <row r="12" spans="1:9" ht="18">
      <c r="A12" s="23" t="s">
        <v>14</v>
      </c>
      <c r="B12" s="42">
        <v>11915.9</v>
      </c>
      <c r="C12" s="43">
        <f>14712+28</f>
        <v>14740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</f>
        <v>9254.7</v>
      </c>
      <c r="E12" s="1">
        <f>D12/D6*100</f>
        <v>3.121492212712221</v>
      </c>
      <c r="F12" s="1">
        <f t="shared" si="3"/>
        <v>77.66681492795342</v>
      </c>
      <c r="G12" s="1">
        <f t="shared" si="0"/>
        <v>62.786295793758484</v>
      </c>
      <c r="H12" s="44">
        <f t="shared" si="2"/>
        <v>2661.199999999999</v>
      </c>
      <c r="I12" s="44">
        <f t="shared" si="1"/>
        <v>5485.299999999999</v>
      </c>
    </row>
    <row r="13" spans="1:9" ht="18.75" thickBot="1">
      <c r="A13" s="23" t="s">
        <v>29</v>
      </c>
      <c r="B13" s="43">
        <f>B6-B8-B9-B10-B11-B12</f>
        <v>14388.000000000031</v>
      </c>
      <c r="C13" s="43">
        <f>C6-C8-C9-C10-C11-C12</f>
        <v>20961.10000000005</v>
      </c>
      <c r="D13" s="43">
        <f>D6-D8-D9-D10-D11-D12</f>
        <v>9196.70000000012</v>
      </c>
      <c r="E13" s="1">
        <f>D13/D6*100</f>
        <v>3.1019295528381106</v>
      </c>
      <c r="F13" s="1">
        <f t="shared" si="3"/>
        <v>63.91923825410134</v>
      </c>
      <c r="G13" s="1">
        <f t="shared" si="0"/>
        <v>43.875082891642606</v>
      </c>
      <c r="H13" s="44">
        <f t="shared" si="2"/>
        <v>5191.29999999991</v>
      </c>
      <c r="I13" s="44">
        <f t="shared" si="1"/>
        <v>11764.399999999929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217129.2</v>
      </c>
      <c r="C18" s="46">
        <f>250434.1+666.5+2890.8+76.6+110+6034+513.1+12.9</f>
        <v>260738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</f>
        <v>182540.3</v>
      </c>
      <c r="E18" s="3">
        <f>D18/D150*100</f>
        <v>16.819915248185485</v>
      </c>
      <c r="F18" s="3">
        <f>D18/B18*100</f>
        <v>84.06989939630412</v>
      </c>
      <c r="G18" s="3">
        <f t="shared" si="0"/>
        <v>70.00908958418029</v>
      </c>
      <c r="H18" s="47">
        <f>B18-D18</f>
        <v>34588.90000000002</v>
      </c>
      <c r="I18" s="47">
        <f t="shared" si="1"/>
        <v>78197.70000000001</v>
      </c>
    </row>
    <row r="19" spans="1:9" s="37" customFormat="1" ht="18.75">
      <c r="A19" s="104" t="s">
        <v>88</v>
      </c>
      <c r="B19" s="97">
        <v>158017.1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</f>
        <v>134000.59999999998</v>
      </c>
      <c r="E19" s="95">
        <f>D19/D18*100</f>
        <v>73.40877603466193</v>
      </c>
      <c r="F19" s="95">
        <f t="shared" si="3"/>
        <v>84.80132846381814</v>
      </c>
      <c r="G19" s="95">
        <f t="shared" si="0"/>
        <v>69.9623301528461</v>
      </c>
      <c r="H19" s="105">
        <f t="shared" si="2"/>
        <v>24016.50000000003</v>
      </c>
      <c r="I19" s="105">
        <f t="shared" si="1"/>
        <v>57531.90000000002</v>
      </c>
    </row>
    <row r="20" spans="1:9" ht="18">
      <c r="A20" s="23" t="s">
        <v>5</v>
      </c>
      <c r="B20" s="42">
        <v>159617</v>
      </c>
      <c r="C20" s="43">
        <f>186641.3+2944.5</f>
        <v>189585.8</v>
      </c>
      <c r="D20" s="44">
        <f>5722.2+1+8655.9+32.9+2.4+5725.7+8251+357.7+0.1+5829.5+27.9+3957+4812.9+26.7+6036.7+16.8+6839+2416.2+22.3+6209+10229+319.3+6468+9728.3+1605.6+3790.5+3239.9+10406.4+0.1+6965.8+3+5278.9+3995.6+0.1+6242.7+6151.8+883.1+1990.1</f>
        <v>142241.1</v>
      </c>
      <c r="E20" s="1">
        <f>D20/D18*100</f>
        <v>77.92312163396248</v>
      </c>
      <c r="F20" s="1">
        <f t="shared" si="3"/>
        <v>89.1140041474279</v>
      </c>
      <c r="G20" s="1">
        <f t="shared" si="0"/>
        <v>75.02729634814422</v>
      </c>
      <c r="H20" s="44">
        <f t="shared" si="2"/>
        <v>17375.899999999994</v>
      </c>
      <c r="I20" s="44">
        <f t="shared" si="1"/>
        <v>47344.69999999998</v>
      </c>
    </row>
    <row r="21" spans="1:9" ht="18">
      <c r="A21" s="23" t="s">
        <v>2</v>
      </c>
      <c r="B21" s="42">
        <v>20263.3</v>
      </c>
      <c r="C21" s="43">
        <f>20454.1+500+110+1045.6</f>
        <v>22109.699999999997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</f>
        <v>16451.3</v>
      </c>
      <c r="E21" s="1">
        <f>D21/D18*100</f>
        <v>9.012420818854796</v>
      </c>
      <c r="F21" s="1">
        <f t="shared" si="3"/>
        <v>81.18766439819773</v>
      </c>
      <c r="G21" s="1">
        <f t="shared" si="0"/>
        <v>74.40761294816302</v>
      </c>
      <c r="H21" s="44">
        <f t="shared" si="2"/>
        <v>3812</v>
      </c>
      <c r="I21" s="44">
        <f t="shared" si="1"/>
        <v>5658.399999999998</v>
      </c>
    </row>
    <row r="22" spans="1:9" ht="18">
      <c r="A22" s="23" t="s">
        <v>1</v>
      </c>
      <c r="B22" s="42">
        <v>3669.6</v>
      </c>
      <c r="C22" s="43">
        <v>3917.9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</f>
        <v>3108.6000000000004</v>
      </c>
      <c r="E22" s="1">
        <f>D22/D18*100</f>
        <v>1.7029664134440452</v>
      </c>
      <c r="F22" s="1">
        <f t="shared" si="3"/>
        <v>84.71223021582736</v>
      </c>
      <c r="G22" s="1">
        <f t="shared" si="0"/>
        <v>79.34352586844994</v>
      </c>
      <c r="H22" s="44">
        <f t="shared" si="2"/>
        <v>560.9999999999995</v>
      </c>
      <c r="I22" s="44">
        <f t="shared" si="1"/>
        <v>809.2999999999997</v>
      </c>
    </row>
    <row r="23" spans="1:9" ht="18">
      <c r="A23" s="23" t="s">
        <v>0</v>
      </c>
      <c r="B23" s="42">
        <v>20361.1</v>
      </c>
      <c r="C23" s="43">
        <f>27804.4+1919</f>
        <v>29723.4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</f>
        <v>15177.099999999995</v>
      </c>
      <c r="E23" s="1">
        <f>D23/D18*100</f>
        <v>8.31438318004298</v>
      </c>
      <c r="F23" s="1">
        <f t="shared" si="3"/>
        <v>74.53968596981497</v>
      </c>
      <c r="G23" s="1">
        <f t="shared" si="0"/>
        <v>51.06111683051062</v>
      </c>
      <c r="H23" s="44">
        <f t="shared" si="2"/>
        <v>5184.000000000004</v>
      </c>
      <c r="I23" s="44">
        <f t="shared" si="1"/>
        <v>14546.300000000007</v>
      </c>
    </row>
    <row r="24" spans="1:9" ht="18">
      <c r="A24" s="23" t="s">
        <v>14</v>
      </c>
      <c r="B24" s="42">
        <v>1375.7</v>
      </c>
      <c r="C24" s="43">
        <v>1591.6</v>
      </c>
      <c r="D24" s="44">
        <f>73.6+22.6+5.3+2.4+2.5+128.1+0.1+11.5+121.2+11.2-0.1+27.3+71.1+31.4-0.1+0.8+24.6+83.5+19.6+26.5+24.2+67.9+2.3+4+48.1+8.9+75.1+2+0.1+126.5+0.8+36.4+6.5+68.6+1.9+11.7</f>
        <v>1148.1</v>
      </c>
      <c r="E24" s="1">
        <f>D24/D18*100</f>
        <v>0.6289570029193553</v>
      </c>
      <c r="F24" s="1">
        <f t="shared" si="3"/>
        <v>83.45569528240168</v>
      </c>
      <c r="G24" s="1">
        <f t="shared" si="0"/>
        <v>72.13495853229455</v>
      </c>
      <c r="H24" s="44">
        <f t="shared" si="2"/>
        <v>227.60000000000014</v>
      </c>
      <c r="I24" s="44">
        <f t="shared" si="1"/>
        <v>443.5</v>
      </c>
    </row>
    <row r="25" spans="1:9" ht="18.75" thickBot="1">
      <c r="A25" s="23" t="s">
        <v>29</v>
      </c>
      <c r="B25" s="43">
        <f>B18-B20-B21-B22-B23-B24</f>
        <v>11842.500000000011</v>
      </c>
      <c r="C25" s="43">
        <f>C18-C20-C21-C22-C23-C24</f>
        <v>13809.600000000011</v>
      </c>
      <c r="D25" s="43">
        <f>D18-D20-D21-D22-D23-D24</f>
        <v>4414.099999999986</v>
      </c>
      <c r="E25" s="1">
        <f>D25/D18*100</f>
        <v>2.4181509507763415</v>
      </c>
      <c r="F25" s="1">
        <f t="shared" si="3"/>
        <v>37.273379776229525</v>
      </c>
      <c r="G25" s="1">
        <f t="shared" si="0"/>
        <v>31.96399606071126</v>
      </c>
      <c r="H25" s="44">
        <f t="shared" si="2"/>
        <v>7428.400000000025</v>
      </c>
      <c r="I25" s="44">
        <f t="shared" si="1"/>
        <v>9395.500000000025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41219</v>
      </c>
      <c r="C33" s="46">
        <f>50266.1+19.2-3069.6+1137.5+1480.3+40-40</f>
        <v>49833.5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</f>
        <v>35105.799999999996</v>
      </c>
      <c r="E33" s="3">
        <f>D33/D150*100</f>
        <v>3.2347738045776744</v>
      </c>
      <c r="F33" s="3">
        <f>D33/B33*100</f>
        <v>85.16897547247628</v>
      </c>
      <c r="G33" s="3">
        <f t="shared" si="0"/>
        <v>70.44618579870969</v>
      </c>
      <c r="H33" s="47">
        <f t="shared" si="2"/>
        <v>6113.200000000004</v>
      </c>
      <c r="I33" s="47">
        <f t="shared" si="1"/>
        <v>14727.700000000004</v>
      </c>
    </row>
    <row r="34" spans="1:9" ht="18">
      <c r="A34" s="23" t="s">
        <v>3</v>
      </c>
      <c r="B34" s="42">
        <v>30002.8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</f>
        <v>26118.399999999987</v>
      </c>
      <c r="E34" s="1">
        <f>D34/D33*100</f>
        <v>74.39910214266585</v>
      </c>
      <c r="F34" s="1">
        <f t="shared" si="3"/>
        <v>87.05320836721901</v>
      </c>
      <c r="G34" s="1">
        <f t="shared" si="0"/>
        <v>71.85392841127612</v>
      </c>
      <c r="H34" s="44">
        <f t="shared" si="2"/>
        <v>3884.4000000000124</v>
      </c>
      <c r="I34" s="44">
        <f t="shared" si="1"/>
        <v>10230.900000000009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2221.8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</f>
        <v>1288.2999999999995</v>
      </c>
      <c r="E36" s="1">
        <f>D36/D33*100</f>
        <v>3.6697639706259353</v>
      </c>
      <c r="F36" s="1">
        <f t="shared" si="3"/>
        <v>57.98451705824104</v>
      </c>
      <c r="G36" s="1">
        <f t="shared" si="0"/>
        <v>38.065831462002116</v>
      </c>
      <c r="H36" s="44">
        <f t="shared" si="2"/>
        <v>933.5000000000007</v>
      </c>
      <c r="I36" s="44">
        <f t="shared" si="1"/>
        <v>2096.1000000000004</v>
      </c>
    </row>
    <row r="37" spans="1:9" s="37" customFormat="1" ht="18.75">
      <c r="A37" s="18" t="s">
        <v>7</v>
      </c>
      <c r="B37" s="51">
        <v>910.3</v>
      </c>
      <c r="C37" s="52">
        <f>929.3+40-40</f>
        <v>929.3</v>
      </c>
      <c r="D37" s="53">
        <f>11.2+19.5+15.2+5+5.7-0.1+1.9+5.1+7+0.3+7.7+25.8+82+15.4+14.3+13.2+14.4+42.6+0.1+37.6+3+2.6+0.8+1.6+3.9+98.6+0.5+15.5+1.7+3.3+166.5+5.9+37.9</f>
        <v>665.7</v>
      </c>
      <c r="E37" s="17">
        <f>D37/D33*100</f>
        <v>1.896267853175259</v>
      </c>
      <c r="F37" s="17">
        <f t="shared" si="3"/>
        <v>73.12973744919258</v>
      </c>
      <c r="G37" s="17">
        <f t="shared" si="0"/>
        <v>71.63456365005919</v>
      </c>
      <c r="H37" s="53">
        <f t="shared" si="2"/>
        <v>244.5999999999999</v>
      </c>
      <c r="I37" s="53">
        <f t="shared" si="1"/>
        <v>263.5999999999999</v>
      </c>
    </row>
    <row r="38" spans="1:9" ht="18">
      <c r="A38" s="23" t="s">
        <v>14</v>
      </c>
      <c r="B38" s="42">
        <v>40.6</v>
      </c>
      <c r="C38" s="43">
        <v>60.8</v>
      </c>
      <c r="D38" s="43">
        <f>5.1+5.1+5.1+5.1+5.1</f>
        <v>25.5</v>
      </c>
      <c r="E38" s="1">
        <f>D38/D33*100</f>
        <v>0.07263756986025102</v>
      </c>
      <c r="F38" s="1">
        <f t="shared" si="3"/>
        <v>62.80788177339901</v>
      </c>
      <c r="G38" s="1">
        <f t="shared" si="0"/>
        <v>41.94078947368421</v>
      </c>
      <c r="H38" s="44">
        <f t="shared" si="2"/>
        <v>15.100000000000001</v>
      </c>
      <c r="I38" s="44">
        <f t="shared" si="1"/>
        <v>35.3</v>
      </c>
    </row>
    <row r="39" spans="1:9" ht="18.75" thickBot="1">
      <c r="A39" s="23" t="s">
        <v>29</v>
      </c>
      <c r="B39" s="42">
        <f>B33-B34-B36-B37-B35-B38</f>
        <v>8043.500000000001</v>
      </c>
      <c r="C39" s="42">
        <f>C33-C34-C36-C37-C35-C38</f>
        <v>9109.700000000006</v>
      </c>
      <c r="D39" s="42">
        <f>D33-D34-D36-D37-D35-D38</f>
        <v>7007.90000000001</v>
      </c>
      <c r="E39" s="1">
        <f>D39/D33*100</f>
        <v>19.962228463672698</v>
      </c>
      <c r="F39" s="1">
        <f t="shared" si="3"/>
        <v>87.12500777024937</v>
      </c>
      <c r="G39" s="1">
        <f t="shared" si="0"/>
        <v>76.92789005126409</v>
      </c>
      <c r="H39" s="44">
        <f>B39-D39</f>
        <v>1035.5999999999913</v>
      </c>
      <c r="I39" s="44">
        <f t="shared" si="1"/>
        <v>2101.7999999999965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1089.9</v>
      </c>
      <c r="C43" s="46">
        <f>829.5+61+9+3+3+433</f>
        <v>1338.5</v>
      </c>
      <c r="D43" s="47">
        <f>22.2+3+5+12.1+5.3+62.1+8.7+22.7+11.7+44.1-0.1+8.7+8.3+9+2+12.1+30.9+11+14.3+28.5+0.1+1.2+34+0.6+0.1+2.3+3+1.5+17.9+19.5+82.4-0.1+0.8+8.4+18.6+22.3+0.1+13.7+8+9.3+10.6+0.7+8+22.7+7+24+0.8+46.6-0.1</f>
        <v>685.6000000000001</v>
      </c>
      <c r="E43" s="3">
        <f>D43/D150*100</f>
        <v>0.06317363285891374</v>
      </c>
      <c r="F43" s="3">
        <f>D43/B43*100</f>
        <v>62.904853656298755</v>
      </c>
      <c r="G43" s="3">
        <f t="shared" si="0"/>
        <v>51.22151662308555</v>
      </c>
      <c r="H43" s="47">
        <f t="shared" si="2"/>
        <v>404.29999999999995</v>
      </c>
      <c r="I43" s="47">
        <f t="shared" si="1"/>
        <v>652.8999999999999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6321.3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</f>
        <v>5530.499999999999</v>
      </c>
      <c r="E45" s="3">
        <f>D45/D150*100</f>
        <v>0.5096000241047584</v>
      </c>
      <c r="F45" s="3">
        <f>D45/B45*100</f>
        <v>87.48991504911963</v>
      </c>
      <c r="G45" s="3">
        <f aca="true" t="shared" si="4" ref="G45:G76">D45/C45*100</f>
        <v>71.02312858775635</v>
      </c>
      <c r="H45" s="47">
        <f>B45-D45</f>
        <v>790.8000000000011</v>
      </c>
      <c r="I45" s="47">
        <f aca="true" t="shared" si="5" ref="I45:I77">C45-D45</f>
        <v>2256.4000000000015</v>
      </c>
    </row>
    <row r="46" spans="1:9" ht="18">
      <c r="A46" s="23" t="s">
        <v>3</v>
      </c>
      <c r="B46" s="42">
        <v>5607.5</v>
      </c>
      <c r="C46" s="43">
        <v>6753.6</v>
      </c>
      <c r="D46" s="44">
        <f>224.1+258.6+235.3+288.8+241.4+328.6+224.6+306.6+239.4+298.3+269.8+13.5+346.9+45.8+263.2+291.7-0.1+38.6+180.3+343.4+215.2+305.6</f>
        <v>4959.6</v>
      </c>
      <c r="E46" s="1">
        <f>D46/D45*100</f>
        <v>89.67724437211827</v>
      </c>
      <c r="F46" s="1">
        <f aca="true" t="shared" si="6" ref="F46:F74">D46/B46*100</f>
        <v>88.44583147570219</v>
      </c>
      <c r="G46" s="1">
        <f t="shared" si="4"/>
        <v>73.4363894811656</v>
      </c>
      <c r="H46" s="44">
        <f aca="true" t="shared" si="7" ref="H46:H74">B46-D46</f>
        <v>647.8999999999996</v>
      </c>
      <c r="I46" s="44">
        <f t="shared" si="5"/>
        <v>1794</v>
      </c>
    </row>
    <row r="47" spans="1:9" ht="18">
      <c r="A47" s="23" t="s">
        <v>2</v>
      </c>
      <c r="B47" s="42">
        <v>1.1</v>
      </c>
      <c r="C47" s="43">
        <v>1.3</v>
      </c>
      <c r="D47" s="44">
        <f>0.3+0.4+0.1+0.3</f>
        <v>1.0999999999999999</v>
      </c>
      <c r="E47" s="1">
        <f>D47/D45*100</f>
        <v>0.01988970255853901</v>
      </c>
      <c r="F47" s="1">
        <f t="shared" si="6"/>
        <v>99.99999999999997</v>
      </c>
      <c r="G47" s="1">
        <f t="shared" si="4"/>
        <v>84.6153846153846</v>
      </c>
      <c r="H47" s="44">
        <f t="shared" si="7"/>
        <v>0</v>
      </c>
      <c r="I47" s="44">
        <f t="shared" si="5"/>
        <v>0.20000000000000018</v>
      </c>
    </row>
    <row r="48" spans="1:9" ht="18">
      <c r="A48" s="23" t="s">
        <v>1</v>
      </c>
      <c r="B48" s="42">
        <v>46.2</v>
      </c>
      <c r="C48" s="43">
        <v>70.7</v>
      </c>
      <c r="D48" s="44">
        <f>0.2+2.1+0.1+6.5+6.7-0.1+7+4.6+1.6+2+4.6</f>
        <v>35.300000000000004</v>
      </c>
      <c r="E48" s="1">
        <f>D48/D45*100</f>
        <v>0.6382786366512975</v>
      </c>
      <c r="F48" s="1">
        <f t="shared" si="6"/>
        <v>76.40692640692642</v>
      </c>
      <c r="G48" s="1">
        <f t="shared" si="4"/>
        <v>49.92927864214993</v>
      </c>
      <c r="H48" s="44">
        <f t="shared" si="7"/>
        <v>10.899999999999999</v>
      </c>
      <c r="I48" s="44">
        <f t="shared" si="5"/>
        <v>35.4</v>
      </c>
    </row>
    <row r="49" spans="1:9" ht="18">
      <c r="A49" s="23" t="s">
        <v>0</v>
      </c>
      <c r="B49" s="42">
        <v>374</v>
      </c>
      <c r="C49" s="43">
        <f>568.5+40.5</f>
        <v>609</v>
      </c>
      <c r="D49" s="44">
        <f>2.2+2.5+0.8+112.4+2.2+0.1+69.1+4.4-0.1+35.2+27.4+4.8+1+22.3+2.5+1.6+0.6+4.2-0.1+0.5+5.1+0.3+0.5+1.6+0.3+1.5+1.7</f>
        <v>304.6000000000001</v>
      </c>
      <c r="E49" s="1">
        <f>D49/D45*100</f>
        <v>5.5076394539372595</v>
      </c>
      <c r="F49" s="1">
        <f t="shared" si="6"/>
        <v>81.4438502673797</v>
      </c>
      <c r="G49" s="1">
        <f t="shared" si="4"/>
        <v>50.01642036124796</v>
      </c>
      <c r="H49" s="44">
        <f t="shared" si="7"/>
        <v>69.39999999999992</v>
      </c>
      <c r="I49" s="44">
        <f t="shared" si="5"/>
        <v>304.3999999999999</v>
      </c>
    </row>
    <row r="50" spans="1:9" ht="18.75" thickBot="1">
      <c r="A50" s="23" t="s">
        <v>29</v>
      </c>
      <c r="B50" s="43">
        <f>B45-B46-B49-B48-B47</f>
        <v>292.50000000000017</v>
      </c>
      <c r="C50" s="43">
        <f>C45-C46-C49-C48-C47</f>
        <v>352.3000000000002</v>
      </c>
      <c r="D50" s="43">
        <f>D45-D46-D49-D48-D47</f>
        <v>229.89999999999864</v>
      </c>
      <c r="E50" s="1">
        <f>D50/D45*100</f>
        <v>4.156947834734629</v>
      </c>
      <c r="F50" s="1">
        <f t="shared" si="6"/>
        <v>78.59829059829009</v>
      </c>
      <c r="G50" s="1">
        <f t="shared" si="4"/>
        <v>65.25688333806373</v>
      </c>
      <c r="H50" s="44">
        <f t="shared" si="7"/>
        <v>62.60000000000153</v>
      </c>
      <c r="I50" s="44">
        <f t="shared" si="5"/>
        <v>122.40000000000154</v>
      </c>
    </row>
    <row r="51" spans="1:9" ht="18.75" thickBot="1">
      <c r="A51" s="22" t="s">
        <v>4</v>
      </c>
      <c r="B51" s="45">
        <v>13549</v>
      </c>
      <c r="C51" s="46">
        <f>16075.7+36.8+200+828.6-580</f>
        <v>16561.1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</f>
        <v>10669.899999999992</v>
      </c>
      <c r="E51" s="3">
        <f>D51/D150*100</f>
        <v>0.9831626972598062</v>
      </c>
      <c r="F51" s="3">
        <f>D51/B51*100</f>
        <v>78.75046128865594</v>
      </c>
      <c r="G51" s="3">
        <f t="shared" si="4"/>
        <v>64.42748368163946</v>
      </c>
      <c r="H51" s="47">
        <f>B51-D51</f>
        <v>2879.1000000000076</v>
      </c>
      <c r="I51" s="47">
        <f t="shared" si="5"/>
        <v>5891.200000000006</v>
      </c>
    </row>
    <row r="52" spans="1:9" ht="18">
      <c r="A52" s="23" t="s">
        <v>3</v>
      </c>
      <c r="B52" s="42">
        <v>8481.5</v>
      </c>
      <c r="C52" s="43">
        <v>10328.7</v>
      </c>
      <c r="D52" s="44">
        <f>8+294.9+437.7+298.5+423.7+297.9+451.2+294.5+446+301+554.2+412+820.4+487.4+393.4+0.1+169.4+354.3-0.1+300.5+8.5+507.2</f>
        <v>7260.699999999998</v>
      </c>
      <c r="E52" s="1">
        <f>D52/D51*100</f>
        <v>68.04843531804424</v>
      </c>
      <c r="F52" s="1">
        <f t="shared" si="6"/>
        <v>85.60631963685667</v>
      </c>
      <c r="G52" s="1">
        <f t="shared" si="4"/>
        <v>70.29635868986414</v>
      </c>
      <c r="H52" s="44">
        <f t="shared" si="7"/>
        <v>1220.800000000002</v>
      </c>
      <c r="I52" s="44">
        <f t="shared" si="5"/>
        <v>3068.0000000000027</v>
      </c>
    </row>
    <row r="53" spans="1:9" ht="18">
      <c r="A53" s="23" t="s">
        <v>2</v>
      </c>
      <c r="B53" s="42">
        <v>6</v>
      </c>
      <c r="C53" s="43">
        <v>12</v>
      </c>
      <c r="D53" s="44"/>
      <c r="E53" s="1">
        <f>D53/D51*100</f>
        <v>0</v>
      </c>
      <c r="F53" s="103">
        <f t="shared" si="6"/>
        <v>0</v>
      </c>
      <c r="G53" s="1">
        <f t="shared" si="4"/>
        <v>0</v>
      </c>
      <c r="H53" s="44">
        <f t="shared" si="7"/>
        <v>6</v>
      </c>
      <c r="I53" s="44">
        <f t="shared" si="5"/>
        <v>12</v>
      </c>
    </row>
    <row r="54" spans="1:9" ht="18">
      <c r="A54" s="23" t="s">
        <v>1</v>
      </c>
      <c r="B54" s="42">
        <v>242.9</v>
      </c>
      <c r="C54" s="43">
        <v>287</v>
      </c>
      <c r="D54" s="44">
        <f>1.3+0.7+2.1+1+1.3+7.6+7.5+6.3+0.4+13+20.7+0.5+5.3+9.4+10+8.9+5.1+7.2+1-0.1+17.9+7.1+3.8+1.6+1.9+6.6+0.6+5.8</f>
        <v>154.50000000000003</v>
      </c>
      <c r="E54" s="1">
        <f>D54/D51*100</f>
        <v>1.4479985754318236</v>
      </c>
      <c r="F54" s="1">
        <f t="shared" si="6"/>
        <v>63.60642239604777</v>
      </c>
      <c r="G54" s="1">
        <f t="shared" si="4"/>
        <v>53.83275261324043</v>
      </c>
      <c r="H54" s="44">
        <f t="shared" si="7"/>
        <v>88.39999999999998</v>
      </c>
      <c r="I54" s="44">
        <f t="shared" si="5"/>
        <v>132.49999999999997</v>
      </c>
    </row>
    <row r="55" spans="1:9" ht="18">
      <c r="A55" s="23" t="s">
        <v>0</v>
      </c>
      <c r="B55" s="42">
        <v>662.3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</f>
        <v>397.50000000000006</v>
      </c>
      <c r="E55" s="1">
        <f>D55/D51*100</f>
        <v>3.72543322805275</v>
      </c>
      <c r="F55" s="1">
        <f t="shared" si="6"/>
        <v>60.01811867733656</v>
      </c>
      <c r="G55" s="1">
        <f t="shared" si="4"/>
        <v>42.599935698210274</v>
      </c>
      <c r="H55" s="44">
        <f t="shared" si="7"/>
        <v>264.7999999999999</v>
      </c>
      <c r="I55" s="44">
        <f t="shared" si="5"/>
        <v>535.5999999999999</v>
      </c>
    </row>
    <row r="56" spans="1:9" ht="18">
      <c r="A56" s="23" t="s">
        <v>14</v>
      </c>
      <c r="B56" s="42">
        <v>200</v>
      </c>
      <c r="C56" s="43">
        <v>200</v>
      </c>
      <c r="D56" s="43">
        <f>40+40+40+40</f>
        <v>160</v>
      </c>
      <c r="E56" s="1">
        <f>D56/D51*100</f>
        <v>1.4995454502853833</v>
      </c>
      <c r="F56" s="1">
        <f>D56/B56*100</f>
        <v>80</v>
      </c>
      <c r="G56" s="1">
        <f>D56/C56*100</f>
        <v>80</v>
      </c>
      <c r="H56" s="44">
        <f t="shared" si="7"/>
        <v>40</v>
      </c>
      <c r="I56" s="44">
        <f t="shared" si="5"/>
        <v>40</v>
      </c>
    </row>
    <row r="57" spans="1:9" ht="18.75" thickBot="1">
      <c r="A57" s="23" t="s">
        <v>29</v>
      </c>
      <c r="B57" s="43">
        <f>B51-B52-B55-B54-B53-B56</f>
        <v>3956.3</v>
      </c>
      <c r="C57" s="43">
        <f>C51-C52-C55-C54-C53-C56</f>
        <v>4800.299999999997</v>
      </c>
      <c r="D57" s="43">
        <f>D51-D52-D55-D54-D53-D56</f>
        <v>2697.1999999999944</v>
      </c>
      <c r="E57" s="1">
        <f>D57/D51*100</f>
        <v>25.278587428185794</v>
      </c>
      <c r="F57" s="1">
        <f t="shared" si="6"/>
        <v>68.17480979703244</v>
      </c>
      <c r="G57" s="1">
        <f t="shared" si="4"/>
        <v>56.18815490698489</v>
      </c>
      <c r="H57" s="44">
        <f>B57-D57</f>
        <v>1259.1000000000058</v>
      </c>
      <c r="I57" s="44">
        <f>C57-D57</f>
        <v>2103.100000000003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5607</v>
      </c>
      <c r="C59" s="46">
        <f>5881.8+134.4+115.2-20</f>
        <v>6111.4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</f>
        <v>4412.999999999999</v>
      </c>
      <c r="E59" s="3">
        <f>D59/D150*100</f>
        <v>0.40662958256474074</v>
      </c>
      <c r="F59" s="3">
        <f>D59/B59*100</f>
        <v>78.70518994114498</v>
      </c>
      <c r="G59" s="3">
        <f t="shared" si="4"/>
        <v>72.20931374153221</v>
      </c>
      <c r="H59" s="47">
        <f>B59-D59</f>
        <v>1194.000000000001</v>
      </c>
      <c r="I59" s="47">
        <f t="shared" si="5"/>
        <v>1698.4000000000005</v>
      </c>
    </row>
    <row r="60" spans="1:9" ht="18">
      <c r="A60" s="23" t="s">
        <v>3</v>
      </c>
      <c r="B60" s="42">
        <v>1379.2</v>
      </c>
      <c r="C60" s="43">
        <f>1508.2+134.4</f>
        <v>1642.6000000000001</v>
      </c>
      <c r="D60" s="44">
        <f>43.5+72.8+47.2+62.5+0.1+35.3+86.8+44.1+125.7+41.4+92.3+60.6+92.7+66.3+68.7-0.1+2+54.7+84.1+36.1+101.8</f>
        <v>1218.6</v>
      </c>
      <c r="E60" s="1">
        <f>D60/D59*100</f>
        <v>27.613868116927264</v>
      </c>
      <c r="F60" s="1">
        <f t="shared" si="6"/>
        <v>88.35556844547563</v>
      </c>
      <c r="G60" s="1">
        <f t="shared" si="4"/>
        <v>74.18726409351028</v>
      </c>
      <c r="H60" s="44">
        <f t="shared" si="7"/>
        <v>160.60000000000014</v>
      </c>
      <c r="I60" s="44">
        <f t="shared" si="5"/>
        <v>424.0000000000002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7.06322229775663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438.6</v>
      </c>
      <c r="C62" s="43">
        <v>627.5</v>
      </c>
      <c r="D62" s="44">
        <f>4.7+45.7+4.9+40.9+19.8+3.9+46.3+9+12.6+0.9+3+0.3+2.8+0.3+0.1+2.2+0.3+2.2+0.3+3.3+0.5</f>
        <v>204.00000000000003</v>
      </c>
      <c r="E62" s="1">
        <f>D62/D59*100</f>
        <v>4.622705642420124</v>
      </c>
      <c r="F62" s="1">
        <f t="shared" si="6"/>
        <v>46.51162790697675</v>
      </c>
      <c r="G62" s="1">
        <f t="shared" si="4"/>
        <v>32.50996015936256</v>
      </c>
      <c r="H62" s="44">
        <f t="shared" si="7"/>
        <v>234.6</v>
      </c>
      <c r="I62" s="44">
        <f t="shared" si="5"/>
        <v>423.5</v>
      </c>
    </row>
    <row r="63" spans="1:9" ht="18">
      <c r="A63" s="23" t="s">
        <v>14</v>
      </c>
      <c r="B63" s="42">
        <v>3331.4</v>
      </c>
      <c r="C63" s="43">
        <f>3216.2+115.2</f>
        <v>3331.3999999999996</v>
      </c>
      <c r="D63" s="44">
        <f>252+735+554.4+1033.2</f>
        <v>2574.6000000000004</v>
      </c>
      <c r="E63" s="1">
        <f>D63/D59*100</f>
        <v>58.341264445955154</v>
      </c>
      <c r="F63" s="1">
        <f t="shared" si="6"/>
        <v>77.282824037942</v>
      </c>
      <c r="G63" s="1">
        <f t="shared" si="4"/>
        <v>77.28282403794202</v>
      </c>
      <c r="H63" s="44">
        <f t="shared" si="7"/>
        <v>756.7999999999997</v>
      </c>
      <c r="I63" s="44">
        <f t="shared" si="5"/>
        <v>756.7999999999993</v>
      </c>
    </row>
    <row r="64" spans="1:9" ht="18.75" thickBot="1">
      <c r="A64" s="23" t="s">
        <v>29</v>
      </c>
      <c r="B64" s="43">
        <f>B59-B60-B62-B63-B61</f>
        <v>146.00000000000017</v>
      </c>
      <c r="C64" s="43">
        <f>C59-C60-C62-C63-C61</f>
        <v>198.09999999999962</v>
      </c>
      <c r="D64" s="43">
        <f>D59-D60-D62-D63-D61</f>
        <v>104.09999999999877</v>
      </c>
      <c r="E64" s="1">
        <f>D64/D59*100</f>
        <v>2.3589394969408293</v>
      </c>
      <c r="F64" s="1">
        <f t="shared" si="6"/>
        <v>71.30136986301278</v>
      </c>
      <c r="G64" s="1">
        <f t="shared" si="4"/>
        <v>52.549217566884884</v>
      </c>
      <c r="H64" s="44">
        <f t="shared" si="7"/>
        <v>41.9000000000014</v>
      </c>
      <c r="I64" s="44">
        <f t="shared" si="5"/>
        <v>94.00000000000085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240.2</v>
      </c>
      <c r="C69" s="46">
        <f>C70+C71</f>
        <v>320.8</v>
      </c>
      <c r="D69" s="47">
        <f>SUM(D70:D71)</f>
        <v>179.5</v>
      </c>
      <c r="E69" s="35">
        <f>D69/D150*100</f>
        <v>0.016539771146696344</v>
      </c>
      <c r="F69" s="3">
        <f>D69/B69*100</f>
        <v>74.72939217318901</v>
      </c>
      <c r="G69" s="3">
        <f t="shared" si="4"/>
        <v>55.953865336658346</v>
      </c>
      <c r="H69" s="47">
        <f>B69-D69</f>
        <v>60.69999999999999</v>
      </c>
      <c r="I69" s="47">
        <f t="shared" si="5"/>
        <v>141.3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v>69.3</v>
      </c>
      <c r="C71" s="43">
        <v>149.8</v>
      </c>
      <c r="D71" s="44">
        <f>9.6</f>
        <v>9.6</v>
      </c>
      <c r="E71" s="1">
        <f>D71/D70*100</f>
        <v>5.650382577987051</v>
      </c>
      <c r="F71" s="1">
        <f t="shared" si="6"/>
        <v>13.852813852813853</v>
      </c>
      <c r="G71" s="1">
        <f t="shared" si="4"/>
        <v>6.408544726301734</v>
      </c>
      <c r="H71" s="44">
        <f t="shared" si="7"/>
        <v>59.699999999999996</v>
      </c>
      <c r="I71" s="44">
        <f t="shared" si="5"/>
        <v>140.20000000000002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237.1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237.1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50759.2</v>
      </c>
      <c r="C90" s="46">
        <f>50201.5+5861+2853.8+11.8-0.1+368.5+374.4</f>
        <v>59670.90000000001</v>
      </c>
      <c r="D90" s="47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+900.2+167.7+3.4+5.9+41.7+11.1+18.2+49.7+33.7+1.6+11.6+1418.6+962.9-0.2+22.9+173.2+20.8+50.1+73.8+9.3+157.2+630.6+619.8+16.8+19.4+48.8+11.8+4.5+31.3+3.2+36+754.3+14+1866.4-43.9-25.6</f>
        <v>42268.8</v>
      </c>
      <c r="E90" s="3">
        <f>D90/D150*100</f>
        <v>3.8947982097241143</v>
      </c>
      <c r="F90" s="3">
        <f aca="true" t="shared" si="10" ref="F90:F96">D90/B90*100</f>
        <v>83.27318003435832</v>
      </c>
      <c r="G90" s="3">
        <f t="shared" si="8"/>
        <v>70.83653841319638</v>
      </c>
      <c r="H90" s="47">
        <f aca="true" t="shared" si="11" ref="H90:H96">B90-D90</f>
        <v>8490.399999999994</v>
      </c>
      <c r="I90" s="47">
        <f t="shared" si="9"/>
        <v>17402.100000000006</v>
      </c>
    </row>
    <row r="91" spans="1:9" ht="18">
      <c r="A91" s="23" t="s">
        <v>3</v>
      </c>
      <c r="B91" s="42">
        <v>42209.2</v>
      </c>
      <c r="C91" s="43">
        <f>41785.6+5825.3+1852.2+217.6</f>
        <v>49680.7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</f>
        <v>36371.6</v>
      </c>
      <c r="E91" s="1">
        <f>D91/D90*100</f>
        <v>86.0483382542206</v>
      </c>
      <c r="F91" s="1">
        <f t="shared" si="10"/>
        <v>86.1698397505757</v>
      </c>
      <c r="G91" s="1">
        <f t="shared" si="8"/>
        <v>73.21072368142961</v>
      </c>
      <c r="H91" s="44">
        <f t="shared" si="11"/>
        <v>5837.5999999999985</v>
      </c>
      <c r="I91" s="44">
        <f t="shared" si="9"/>
        <v>13309.099999999999</v>
      </c>
    </row>
    <row r="92" spans="1:9" ht="18">
      <c r="A92" s="23" t="s">
        <v>27</v>
      </c>
      <c r="B92" s="42">
        <v>1544.3</v>
      </c>
      <c r="C92" s="43">
        <f>2476+1-355.6</f>
        <v>2121.4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</f>
        <v>1172.8999999999999</v>
      </c>
      <c r="E92" s="1">
        <f>D92/D90*100</f>
        <v>2.7748599439775905</v>
      </c>
      <c r="F92" s="1">
        <f t="shared" si="10"/>
        <v>75.950268730169</v>
      </c>
      <c r="G92" s="1">
        <f t="shared" si="8"/>
        <v>55.288960120675014</v>
      </c>
      <c r="H92" s="44">
        <f t="shared" si="11"/>
        <v>371.4000000000001</v>
      </c>
      <c r="I92" s="44">
        <f t="shared" si="9"/>
        <v>948.5000000000002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7005.7</v>
      </c>
      <c r="C94" s="43">
        <f>C90-C91-C92-C93</f>
        <v>7868.800000000012</v>
      </c>
      <c r="D94" s="43">
        <f>D90-D91-D92-D93</f>
        <v>4724.300000000005</v>
      </c>
      <c r="E94" s="1">
        <f>D94/D90*100</f>
        <v>11.176801801801812</v>
      </c>
      <c r="F94" s="1">
        <f t="shared" si="10"/>
        <v>67.43508857073533</v>
      </c>
      <c r="G94" s="1">
        <f>D94/C94*100</f>
        <v>60.03837942252945</v>
      </c>
      <c r="H94" s="44">
        <f t="shared" si="11"/>
        <v>2281.399999999995</v>
      </c>
      <c r="I94" s="44">
        <f>C94-D94</f>
        <v>3144.5000000000073</v>
      </c>
    </row>
    <row r="95" spans="1:9" ht="18.75">
      <c r="A95" s="108" t="s">
        <v>12</v>
      </c>
      <c r="B95" s="111">
        <v>69041.8</v>
      </c>
      <c r="C95" s="113">
        <f>63500.4+11490.6+4535.2-1.1-1111.2+1589.3-1380+1170.8</f>
        <v>79794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</f>
        <v>60562.200000000004</v>
      </c>
      <c r="E95" s="107">
        <f>D95/D150*100</f>
        <v>5.580417426966315</v>
      </c>
      <c r="F95" s="110">
        <f t="shared" si="10"/>
        <v>87.71816493776234</v>
      </c>
      <c r="G95" s="106">
        <f>D95/C95*100</f>
        <v>75.89818783367171</v>
      </c>
      <c r="H95" s="112">
        <f t="shared" si="11"/>
        <v>8479.599999999999</v>
      </c>
      <c r="I95" s="122">
        <f>C95-D95</f>
        <v>19231.799999999996</v>
      </c>
    </row>
    <row r="96" spans="1:9" ht="18.75" thickBot="1">
      <c r="A96" s="109" t="s">
        <v>89</v>
      </c>
      <c r="B96" s="114">
        <v>6125.4</v>
      </c>
      <c r="C96" s="115">
        <f>5343.5+287.2+2416.8+30</f>
        <v>8077.5</v>
      </c>
      <c r="D96" s="116">
        <v>4529.8</v>
      </c>
      <c r="E96" s="117">
        <f>D96/D95*100</f>
        <v>7.479582974198427</v>
      </c>
      <c r="F96" s="118">
        <f t="shared" si="10"/>
        <v>73.95108890847946</v>
      </c>
      <c r="G96" s="119">
        <f>D96/C96*100</f>
        <v>56.0792324357784</v>
      </c>
      <c r="H96" s="123">
        <f t="shared" si="11"/>
        <v>1595.5999999999995</v>
      </c>
      <c r="I96" s="124">
        <f>C96-D96</f>
        <v>3547.7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8528.6</v>
      </c>
      <c r="C102" s="92">
        <f>10703.3-154-3.5-134.3+83.4+37+0.1</f>
        <v>10532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</f>
        <v>5722.9</v>
      </c>
      <c r="E102" s="19">
        <f>D102/D150*100</f>
        <v>0.5273284473282925</v>
      </c>
      <c r="F102" s="19">
        <f>D102/B102*100</f>
        <v>67.10245526815655</v>
      </c>
      <c r="G102" s="19">
        <f aca="true" t="shared" si="12" ref="G102:G148">D102/C102*100</f>
        <v>54.338207368021266</v>
      </c>
      <c r="H102" s="79">
        <f aca="true" t="shared" si="13" ref="H102:H107">B102-D102</f>
        <v>2805.7000000000007</v>
      </c>
      <c r="I102" s="79">
        <f aca="true" t="shared" si="14" ref="I102:I148">C102-D102</f>
        <v>4809.1</v>
      </c>
    </row>
    <row r="103" spans="1:9" ht="18">
      <c r="A103" s="23" t="s">
        <v>3</v>
      </c>
      <c r="B103" s="89">
        <v>124.5</v>
      </c>
      <c r="C103" s="87">
        <v>187.6</v>
      </c>
      <c r="D103" s="87">
        <f>15.1+18.9-0.1+18.6+22.1+18.4</f>
        <v>93</v>
      </c>
      <c r="E103" s="83">
        <f>D103/D102*100</f>
        <v>1.6250502367680724</v>
      </c>
      <c r="F103" s="1">
        <f>D103/B103*100</f>
        <v>74.69879518072288</v>
      </c>
      <c r="G103" s="83">
        <f>D103/C103*100</f>
        <v>49.57356076759062</v>
      </c>
      <c r="H103" s="87">
        <f t="shared" si="13"/>
        <v>31.5</v>
      </c>
      <c r="I103" s="87">
        <f t="shared" si="14"/>
        <v>94.6</v>
      </c>
    </row>
    <row r="104" spans="1:9" ht="18">
      <c r="A104" s="85" t="s">
        <v>52</v>
      </c>
      <c r="B104" s="74">
        <v>6896.6</v>
      </c>
      <c r="C104" s="44">
        <f>8863.3-154-3.5-134.3+25.3</f>
        <v>8596.8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</f>
        <v>4942.4</v>
      </c>
      <c r="E104" s="1">
        <f>D104/D102*100</f>
        <v>86.3618095720701</v>
      </c>
      <c r="F104" s="1">
        <f aca="true" t="shared" si="15" ref="F104:F148">D104/B104*100</f>
        <v>71.66429834991153</v>
      </c>
      <c r="G104" s="1">
        <f t="shared" si="12"/>
        <v>57.49115950120975</v>
      </c>
      <c r="H104" s="44">
        <f t="shared" si="13"/>
        <v>1954.2000000000007</v>
      </c>
      <c r="I104" s="44">
        <f t="shared" si="14"/>
        <v>3654.3999999999996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1507.5</v>
      </c>
      <c r="C106" s="88">
        <f>C102-C103-C104</f>
        <v>1747.6000000000004</v>
      </c>
      <c r="D106" s="88">
        <f>D102-D103-D104</f>
        <v>687.5</v>
      </c>
      <c r="E106" s="84">
        <f>D106/D102*100</f>
        <v>12.013140191161824</v>
      </c>
      <c r="F106" s="84">
        <f t="shared" si="15"/>
        <v>45.605306799336645</v>
      </c>
      <c r="G106" s="84">
        <f t="shared" si="12"/>
        <v>39.339665827420454</v>
      </c>
      <c r="H106" s="124">
        <f>B106-D106</f>
        <v>820</v>
      </c>
      <c r="I106" s="124">
        <f t="shared" si="14"/>
        <v>1060.1000000000004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521686.1000000001</v>
      </c>
      <c r="C107" s="81">
        <f>SUM(C108:C147)-C115-C119+C148-C139-C140-C109-C112-C122-C123-C137-C131-C129</f>
        <v>586496.8999999999</v>
      </c>
      <c r="D107" s="81">
        <f>SUM(D108:D147)-D115-D119+D148-D139-D140-D109-D112-D122-D123-D137-D131-D129</f>
        <v>441101.20000000007</v>
      </c>
      <c r="E107" s="82">
        <f>D107/D150*100</f>
        <v>40.644640114390725</v>
      </c>
      <c r="F107" s="82">
        <f>D107/B107*100</f>
        <v>84.55299077357054</v>
      </c>
      <c r="G107" s="82">
        <f t="shared" si="12"/>
        <v>75.20946828533964</v>
      </c>
      <c r="H107" s="81">
        <f t="shared" si="13"/>
        <v>80584.90000000002</v>
      </c>
      <c r="I107" s="81">
        <f t="shared" si="14"/>
        <v>145395.69999999984</v>
      </c>
    </row>
    <row r="108" spans="1:9" ht="37.5">
      <c r="A108" s="28" t="s">
        <v>56</v>
      </c>
      <c r="B108" s="71">
        <v>1735.4</v>
      </c>
      <c r="C108" s="67">
        <v>2166.2</v>
      </c>
      <c r="D108" s="72">
        <f>142.7+0.9+78.6+37.4+44.2+140.1+1+20.9+25.7+0.2+2+0.6+0.4+1.8+1.5-0.1+62.6+2.1+1.9+2.9+1+9.8+0.1+52+4.8+2+1.2+2+5.2+2.6-0.1+56.3+43+2.2+0.3+6.3+0.1+46.4+1.3+6.5+1.2+1-0.1+67.4+1.9+0.3+9.6</f>
        <v>891.6999999999997</v>
      </c>
      <c r="E108" s="6">
        <f>D108/D107*100</f>
        <v>0.20215315669057343</v>
      </c>
      <c r="F108" s="6">
        <f t="shared" si="15"/>
        <v>51.38296646306325</v>
      </c>
      <c r="G108" s="6">
        <f t="shared" si="12"/>
        <v>41.16425076170251</v>
      </c>
      <c r="H108" s="61">
        <f aca="true" t="shared" si="16" ref="H108:H148">B108-D108</f>
        <v>843.7000000000004</v>
      </c>
      <c r="I108" s="61">
        <f t="shared" si="14"/>
        <v>1274.5</v>
      </c>
    </row>
    <row r="109" spans="1:9" ht="18">
      <c r="A109" s="23" t="s">
        <v>27</v>
      </c>
      <c r="B109" s="74">
        <v>932.5</v>
      </c>
      <c r="C109" s="44">
        <v>1213.5</v>
      </c>
      <c r="D109" s="75">
        <f>142.7+0.9+78.6+37.4+20.9+42.5+24.8+0.6+32.7+0.1+16.7+37.6</f>
        <v>435.5</v>
      </c>
      <c r="E109" s="1">
        <f>D109/D108*100</f>
        <v>48.83929572726255</v>
      </c>
      <c r="F109" s="1">
        <f t="shared" si="15"/>
        <v>46.702412868632706</v>
      </c>
      <c r="G109" s="1">
        <f t="shared" si="12"/>
        <v>35.88792748248867</v>
      </c>
      <c r="H109" s="44">
        <f t="shared" si="16"/>
        <v>497</v>
      </c>
      <c r="I109" s="44">
        <f t="shared" si="14"/>
        <v>778</v>
      </c>
    </row>
    <row r="110" spans="1:9" ht="34.5" customHeight="1">
      <c r="A110" s="16" t="s">
        <v>84</v>
      </c>
      <c r="B110" s="73">
        <v>633.2</v>
      </c>
      <c r="C110" s="61">
        <v>778.3</v>
      </c>
      <c r="D110" s="72">
        <f>26.5+20.2+7.7+37.4+7.5+38.9-0.1+38.9+12.6+45.5+9.7+1.6+37.6-0.1+56.2+1.4+57.4+128</f>
        <v>526.8999999999999</v>
      </c>
      <c r="E110" s="6">
        <f>D110/D107*100</f>
        <v>0.11945104660789854</v>
      </c>
      <c r="F110" s="6">
        <f>D110/B110*100</f>
        <v>83.21225521162347</v>
      </c>
      <c r="G110" s="6">
        <f t="shared" si="12"/>
        <v>67.69883078504432</v>
      </c>
      <c r="H110" s="61">
        <f t="shared" si="16"/>
        <v>106.30000000000018</v>
      </c>
      <c r="I110" s="61">
        <f t="shared" si="14"/>
        <v>251.4000000000001</v>
      </c>
    </row>
    <row r="111" spans="1:9" s="37" customFormat="1" ht="34.5" customHeight="1">
      <c r="A111" s="16" t="s">
        <v>60</v>
      </c>
      <c r="B111" s="73">
        <v>744.1</v>
      </c>
      <c r="C111" s="53">
        <v>774.1</v>
      </c>
      <c r="D111" s="76"/>
      <c r="E111" s="6">
        <f>D111/D107*100</f>
        <v>0</v>
      </c>
      <c r="F111" s="6">
        <f t="shared" si="15"/>
        <v>0</v>
      </c>
      <c r="G111" s="6">
        <f t="shared" si="12"/>
        <v>0</v>
      </c>
      <c r="H111" s="61">
        <f t="shared" si="16"/>
        <v>744.1</v>
      </c>
      <c r="I111" s="61">
        <f t="shared" si="14"/>
        <v>774.1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104</v>
      </c>
      <c r="B113" s="73">
        <v>50</v>
      </c>
      <c r="C113" s="61">
        <v>50</v>
      </c>
      <c r="D113" s="72">
        <f>5.8+4.7+0.7+0.7+1</f>
        <v>12.899999999999999</v>
      </c>
      <c r="E113" s="6">
        <f>D113/D107*100</f>
        <v>0.002924498958515641</v>
      </c>
      <c r="F113" s="6">
        <f t="shared" si="15"/>
        <v>25.799999999999994</v>
      </c>
      <c r="G113" s="6">
        <f t="shared" si="12"/>
        <v>25.799999999999994</v>
      </c>
      <c r="H113" s="61">
        <f t="shared" si="16"/>
        <v>37.1</v>
      </c>
      <c r="I113" s="61">
        <f t="shared" si="14"/>
        <v>37.1</v>
      </c>
    </row>
    <row r="114" spans="1:9" ht="37.5">
      <c r="A114" s="16" t="s">
        <v>41</v>
      </c>
      <c r="B114" s="73">
        <v>1449</v>
      </c>
      <c r="C114" s="61">
        <v>1826</v>
      </c>
      <c r="D114" s="72">
        <f>82.2+4.4+0.2+16.8+100.8+0.1+8.3+21.3+93.2+14.5+11.8+88.2+4.6+1.1+5.8+6+2.3+112.3+12.6+0.8+1.5+0.2+0.2+72.9+5.6+10.9+0.3+11.7+5.8+0.6+108.3+0.1+3+1.3+29.1+101.7+7.2+3.2+0.7+0.2+0.2+0.2+104.4</f>
        <v>1056.6000000000004</v>
      </c>
      <c r="E114" s="6">
        <f>D114/D107*100</f>
        <v>0.2395368681835371</v>
      </c>
      <c r="F114" s="6">
        <f t="shared" si="15"/>
        <v>72.91925465838511</v>
      </c>
      <c r="G114" s="6">
        <f t="shared" si="12"/>
        <v>57.864184008762344</v>
      </c>
      <c r="H114" s="61">
        <f t="shared" si="16"/>
        <v>392.39999999999964</v>
      </c>
      <c r="I114" s="61">
        <f t="shared" si="14"/>
        <v>769.3999999999996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>
      <c r="A116" s="16" t="s">
        <v>105</v>
      </c>
      <c r="B116" s="73">
        <v>228.5</v>
      </c>
      <c r="C116" s="53">
        <v>264.5</v>
      </c>
      <c r="D116" s="76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3">
        <f t="shared" si="16"/>
        <v>228.5</v>
      </c>
      <c r="I116" s="53">
        <f t="shared" si="14"/>
        <v>264.5</v>
      </c>
    </row>
    <row r="117" spans="1:9" ht="37.5">
      <c r="A117" s="16" t="s">
        <v>51</v>
      </c>
      <c r="B117" s="73">
        <v>110</v>
      </c>
      <c r="C117" s="61">
        <v>110</v>
      </c>
      <c r="D117" s="72">
        <f>15</f>
        <v>15</v>
      </c>
      <c r="E117" s="6">
        <f>D117/D107*100</f>
        <v>0.003400580184320514</v>
      </c>
      <c r="F117" s="6">
        <f>D117/B117*100</f>
        <v>13.636363636363635</v>
      </c>
      <c r="G117" s="6">
        <f t="shared" si="12"/>
        <v>13.636363636363635</v>
      </c>
      <c r="H117" s="61">
        <f t="shared" si="16"/>
        <v>95</v>
      </c>
      <c r="I117" s="61">
        <f t="shared" si="14"/>
        <v>95</v>
      </c>
    </row>
    <row r="118" spans="1:9" s="2" customFormat="1" ht="18.75">
      <c r="A118" s="16" t="s">
        <v>15</v>
      </c>
      <c r="B118" s="73">
        <v>187.7</v>
      </c>
      <c r="C118" s="53">
        <f>229.6+4.4</f>
        <v>234</v>
      </c>
      <c r="D118" s="72">
        <f>17.1-0.3+0.8+0.3+21.4+4.2+0.3+17.6+4.2+0.8+0.3+16.8+0.3+2+2.2+17.7+1.1+4.1+17.7+0.8+4.3+0.3+1.6+0.3+4+0.8+1.7+3+17.7</f>
        <v>163.1</v>
      </c>
      <c r="E118" s="6">
        <f>D118/D107*100</f>
        <v>0.03697564187084505</v>
      </c>
      <c r="F118" s="6">
        <f t="shared" si="15"/>
        <v>86.89397975492807</v>
      </c>
      <c r="G118" s="6">
        <f t="shared" si="12"/>
        <v>69.70085470085469</v>
      </c>
      <c r="H118" s="61">
        <f t="shared" si="16"/>
        <v>24.599999999999994</v>
      </c>
      <c r="I118" s="61">
        <f t="shared" si="14"/>
        <v>70.9</v>
      </c>
    </row>
    <row r="119" spans="1:9" s="32" customFormat="1" ht="18">
      <c r="A119" s="33" t="s">
        <v>47</v>
      </c>
      <c r="B119" s="74">
        <v>138</v>
      </c>
      <c r="C119" s="44">
        <f>170.2+4.4</f>
        <v>174.6</v>
      </c>
      <c r="D119" s="75">
        <f>17.1-0.3+16.8+16.8+16.8+17.7+17.7+17.7</f>
        <v>120.30000000000001</v>
      </c>
      <c r="E119" s="1">
        <f>D119/D118*100</f>
        <v>73.75843041079094</v>
      </c>
      <c r="F119" s="1">
        <f t="shared" si="15"/>
        <v>87.17391304347827</v>
      </c>
      <c r="G119" s="1">
        <f t="shared" si="12"/>
        <v>68.90034364261169</v>
      </c>
      <c r="H119" s="44">
        <f t="shared" si="16"/>
        <v>17.69999999999999</v>
      </c>
      <c r="I119" s="44">
        <f t="shared" si="14"/>
        <v>54.29999999999998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v>568.7</v>
      </c>
      <c r="C121" s="53">
        <f>204.9+375.8-12</f>
        <v>568.7</v>
      </c>
      <c r="D121" s="76">
        <f>136.8+10+57.4-0.1+22.6+0.1</f>
        <v>226.8</v>
      </c>
      <c r="E121" s="17">
        <f>D121/D107*100</f>
        <v>0.05141677238692617</v>
      </c>
      <c r="F121" s="6">
        <f t="shared" si="15"/>
        <v>39.880429048707576</v>
      </c>
      <c r="G121" s="6">
        <f t="shared" si="12"/>
        <v>39.880429048707576</v>
      </c>
      <c r="H121" s="61">
        <f t="shared" si="16"/>
        <v>341.90000000000003</v>
      </c>
      <c r="I121" s="61">
        <f t="shared" si="14"/>
        <v>341.90000000000003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v>23167.5</v>
      </c>
      <c r="C124" s="53">
        <f>5096.9+1707.5+6000+16669.6-700</f>
        <v>28774</v>
      </c>
      <c r="D124" s="76">
        <f>3776+7.6+1124+100+14.3+14.5+0.1+20.4+3015.8+9+1156.5+27+0.1+1146.6+5.2+681+29.9+16.3+480.3+117.6+5542.8+148.8+1446+310+974.1+0.1</f>
        <v>20163.999999999996</v>
      </c>
      <c r="E124" s="17">
        <f>D124/D107*100</f>
        <v>4.571286589109255</v>
      </c>
      <c r="F124" s="6">
        <f t="shared" si="15"/>
        <v>87.03571813963525</v>
      </c>
      <c r="G124" s="6">
        <f t="shared" si="12"/>
        <v>70.07715298533397</v>
      </c>
      <c r="H124" s="61">
        <f t="shared" si="16"/>
        <v>3003.5000000000036</v>
      </c>
      <c r="I124" s="61">
        <f t="shared" si="14"/>
        <v>8610.000000000004</v>
      </c>
    </row>
    <row r="125" spans="1:9" s="2" customFormat="1" ht="18.75">
      <c r="A125" s="16" t="s">
        <v>107</v>
      </c>
      <c r="B125" s="73">
        <v>875</v>
      </c>
      <c r="C125" s="53">
        <f>1239-364</f>
        <v>875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875</v>
      </c>
      <c r="I125" s="61">
        <f t="shared" si="14"/>
        <v>875</v>
      </c>
    </row>
    <row r="126" spans="1:9" s="2" customFormat="1" ht="37.5">
      <c r="A126" s="16" t="s">
        <v>106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v>95.1</v>
      </c>
      <c r="C127" s="53">
        <v>95.1</v>
      </c>
      <c r="D127" s="76">
        <f>4.5+17.5+0.7+32.3</f>
        <v>55</v>
      </c>
      <c r="E127" s="17">
        <f>D127/D107*100</f>
        <v>0.012468794009175218</v>
      </c>
      <c r="F127" s="6">
        <f t="shared" si="15"/>
        <v>57.83385909568876</v>
      </c>
      <c r="G127" s="6">
        <f t="shared" si="12"/>
        <v>57.83385909568876</v>
      </c>
      <c r="H127" s="61">
        <f t="shared" si="16"/>
        <v>40.099999999999994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v>754.2</v>
      </c>
      <c r="C128" s="53">
        <v>983</v>
      </c>
      <c r="D128" s="76">
        <f>2.8+14.4+2.8+8.8+3.7+4+2.8+5.8+9.6+4.2+2.7+0.2+2.9+76+0.5+2.6+4.7+5.9+2.9+2.9+16.5+2.9</f>
        <v>179.6</v>
      </c>
      <c r="E128" s="17">
        <f>D128/D107*100</f>
        <v>0.040716280073597615</v>
      </c>
      <c r="F128" s="6">
        <f t="shared" si="15"/>
        <v>23.813312118801377</v>
      </c>
      <c r="G128" s="6">
        <f t="shared" si="12"/>
        <v>18.270600203458798</v>
      </c>
      <c r="H128" s="61">
        <f t="shared" si="16"/>
        <v>574.6</v>
      </c>
      <c r="I128" s="61">
        <f t="shared" si="14"/>
        <v>803.4</v>
      </c>
    </row>
    <row r="129" spans="1:9" s="32" customFormat="1" ht="18">
      <c r="A129" s="23" t="s">
        <v>100</v>
      </c>
      <c r="B129" s="74">
        <v>644.3</v>
      </c>
      <c r="C129" s="44">
        <v>851.8</v>
      </c>
      <c r="D129" s="75">
        <f>2.8+2.8-0.1+2.8+2.7+2.9+70.7+4.7+2.9+2.9+2.9</f>
        <v>98.00000000000003</v>
      </c>
      <c r="E129" s="1">
        <f>D129/D128*100</f>
        <v>54.56570155902006</v>
      </c>
      <c r="F129" s="1">
        <f>D129/B129*100</f>
        <v>15.210305758187184</v>
      </c>
      <c r="G129" s="1">
        <f t="shared" si="12"/>
        <v>11.505048133364644</v>
      </c>
      <c r="H129" s="44">
        <f t="shared" si="16"/>
        <v>546.3</v>
      </c>
      <c r="I129" s="44">
        <f t="shared" si="14"/>
        <v>753.8</v>
      </c>
    </row>
    <row r="130" spans="1:9" s="2" customFormat="1" ht="37.5">
      <c r="A130" s="16" t="s">
        <v>108</v>
      </c>
      <c r="B130" s="73">
        <v>200</v>
      </c>
      <c r="C130" s="53">
        <v>400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200</v>
      </c>
      <c r="I130" s="61">
        <f t="shared" si="14"/>
        <v>400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46.7</v>
      </c>
      <c r="C132" s="53">
        <v>64.1</v>
      </c>
      <c r="D132" s="76">
        <f>0.8+2.3+1.8+1+14.8+2.3</f>
        <v>23</v>
      </c>
      <c r="E132" s="17">
        <f>D132/D107*100</f>
        <v>0.005214222949291455</v>
      </c>
      <c r="F132" s="6">
        <f t="shared" si="15"/>
        <v>49.25053533190577</v>
      </c>
      <c r="G132" s="6">
        <f t="shared" si="12"/>
        <v>35.8814352574103</v>
      </c>
      <c r="H132" s="61">
        <f t="shared" si="16"/>
        <v>23.700000000000003</v>
      </c>
      <c r="I132" s="61">
        <f t="shared" si="14"/>
        <v>41.099999999999994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98</v>
      </c>
      <c r="B134" s="73">
        <v>100</v>
      </c>
      <c r="C134" s="53">
        <f>600-500</f>
        <v>100</v>
      </c>
      <c r="D134" s="76">
        <f>0.8+5+0.9+2.6-0.1+0.6+0.1+0.6+1.7</f>
        <v>12.2</v>
      </c>
      <c r="E134" s="17">
        <f>D134/D107*100</f>
        <v>0.0027658052165806845</v>
      </c>
      <c r="F134" s="6">
        <f t="shared" si="15"/>
        <v>12.2</v>
      </c>
      <c r="G134" s="6">
        <f t="shared" si="12"/>
        <v>12.2</v>
      </c>
      <c r="H134" s="61">
        <f t="shared" si="16"/>
        <v>87.8</v>
      </c>
      <c r="I134" s="61">
        <f t="shared" si="14"/>
        <v>87.8</v>
      </c>
    </row>
    <row r="135" spans="1:9" s="2" customFormat="1" ht="35.25" customHeight="1" hidden="1">
      <c r="A135" s="16" t="s">
        <v>99</v>
      </c>
      <c r="B135" s="73"/>
      <c r="C135" s="53"/>
      <c r="D135" s="76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1">
        <f t="shared" si="16"/>
        <v>0</v>
      </c>
      <c r="I135" s="61">
        <f t="shared" si="14"/>
        <v>0</v>
      </c>
    </row>
    <row r="136" spans="1:9" s="2" customFormat="1" ht="37.5">
      <c r="A136" s="16" t="s">
        <v>90</v>
      </c>
      <c r="B136" s="73">
        <v>277.8</v>
      </c>
      <c r="C136" s="53">
        <v>363.7</v>
      </c>
      <c r="D136" s="76">
        <f>5.2+0.3+2.7+0.1+0.5+0.2+13.8+39.2+5+5.9+2+6.5+0.1+32.4+5+3.9+0.2+0.7+8.4+0.1+0.1+3+4.4+0.1+5.5+21.4+0.1+4.5+0.6+5.7+0.4</f>
        <v>178</v>
      </c>
      <c r="E136" s="17">
        <f>D136/D107*100</f>
        <v>0.04035355152060343</v>
      </c>
      <c r="F136" s="6">
        <f t="shared" si="15"/>
        <v>64.07487401007918</v>
      </c>
      <c r="G136" s="6">
        <f>D136/C136*100</f>
        <v>48.94143524883145</v>
      </c>
      <c r="H136" s="61">
        <f t="shared" si="16"/>
        <v>99.80000000000001</v>
      </c>
      <c r="I136" s="61">
        <f t="shared" si="14"/>
        <v>185.7</v>
      </c>
    </row>
    <row r="137" spans="1:9" s="32" customFormat="1" ht="18">
      <c r="A137" s="23" t="s">
        <v>27</v>
      </c>
      <c r="B137" s="74">
        <v>193.6</v>
      </c>
      <c r="C137" s="44">
        <f>218.8+36.5</f>
        <v>255.3</v>
      </c>
      <c r="D137" s="75">
        <f>0.3+39.3+0.2+2+32.4+0.2-0.1+5.4+0.1+5.5+21.4+0.1+0.1</f>
        <v>106.89999999999998</v>
      </c>
      <c r="E137" s="103">
        <f>D137/D136*100</f>
        <v>60.05617977528088</v>
      </c>
      <c r="F137" s="1">
        <f t="shared" si="15"/>
        <v>55.21694214876032</v>
      </c>
      <c r="G137" s="1">
        <f>D137/C137*100</f>
        <v>41.87230708969839</v>
      </c>
      <c r="H137" s="44">
        <f t="shared" si="16"/>
        <v>86.70000000000002</v>
      </c>
      <c r="I137" s="44">
        <f t="shared" si="14"/>
        <v>148.40000000000003</v>
      </c>
    </row>
    <row r="138" spans="1:9" s="2" customFormat="1" ht="18.75">
      <c r="A138" s="16" t="s">
        <v>26</v>
      </c>
      <c r="B138" s="73">
        <v>1062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</f>
        <v>936.8</v>
      </c>
      <c r="E138" s="17">
        <f>D138/D107*100</f>
        <v>0.2123775677780971</v>
      </c>
      <c r="F138" s="6">
        <f t="shared" si="15"/>
        <v>88.21092278719397</v>
      </c>
      <c r="G138" s="6">
        <f t="shared" si="12"/>
        <v>74.51479478205536</v>
      </c>
      <c r="H138" s="61">
        <f t="shared" si="16"/>
        <v>125.20000000000005</v>
      </c>
      <c r="I138" s="61">
        <f t="shared" si="14"/>
        <v>320.4000000000001</v>
      </c>
    </row>
    <row r="139" spans="1:9" s="32" customFormat="1" ht="18">
      <c r="A139" s="33" t="s">
        <v>47</v>
      </c>
      <c r="B139" s="74">
        <v>739.8</v>
      </c>
      <c r="C139" s="44">
        <v>886.2</v>
      </c>
      <c r="D139" s="75">
        <f>26.5+39.8+30.1+42.1+0.1+31.9+40.5+11.2+38.1+30.1+28.3+17.4+33.4+8.9+24.2+37.9+28.8+43.2+29.4+43.5-0.1+36.5+38.4</f>
        <v>660.1999999999999</v>
      </c>
      <c r="E139" s="1">
        <f>D139/D138*100</f>
        <v>70.47395388556788</v>
      </c>
      <c r="F139" s="1">
        <f aca="true" t="shared" si="17" ref="F139:F147">D139/B139*100</f>
        <v>89.24033522573667</v>
      </c>
      <c r="G139" s="1">
        <f t="shared" si="12"/>
        <v>74.49785601444367</v>
      </c>
      <c r="H139" s="44">
        <f t="shared" si="16"/>
        <v>79.60000000000002</v>
      </c>
      <c r="I139" s="44">
        <f t="shared" si="14"/>
        <v>226.0000000000001</v>
      </c>
    </row>
    <row r="140" spans="1:9" s="32" customFormat="1" ht="18">
      <c r="A140" s="23" t="s">
        <v>27</v>
      </c>
      <c r="B140" s="74">
        <v>25.6</v>
      </c>
      <c r="C140" s="44">
        <v>39.3</v>
      </c>
      <c r="D140" s="75">
        <f>8.6+0.2+0.3+5.1+0.4+5.3+0.3+0.3+0.2+0.3+0.3</f>
        <v>21.3</v>
      </c>
      <c r="E140" s="1">
        <f>D140/D138*100</f>
        <v>2.2736976942783946</v>
      </c>
      <c r="F140" s="1">
        <f t="shared" si="17"/>
        <v>83.203125</v>
      </c>
      <c r="G140" s="1">
        <f>D140/C140*100</f>
        <v>54.19847328244275</v>
      </c>
      <c r="H140" s="44">
        <f t="shared" si="16"/>
        <v>4.300000000000001</v>
      </c>
      <c r="I140" s="44">
        <f t="shared" si="14"/>
        <v>17.999999999999996</v>
      </c>
    </row>
    <row r="141" spans="1:9" s="2" customFormat="1" ht="56.25">
      <c r="A141" s="18" t="s">
        <v>95</v>
      </c>
      <c r="B141" s="73">
        <v>345</v>
      </c>
      <c r="C141" s="53">
        <v>345</v>
      </c>
      <c r="D141" s="76">
        <f>345</f>
        <v>345</v>
      </c>
      <c r="E141" s="17">
        <f>D141/D107*100</f>
        <v>0.07821334423937182</v>
      </c>
      <c r="F141" s="99">
        <f t="shared" si="17"/>
        <v>100</v>
      </c>
      <c r="G141" s="6">
        <f t="shared" si="12"/>
        <v>100</v>
      </c>
      <c r="H141" s="61">
        <f t="shared" si="16"/>
        <v>0</v>
      </c>
      <c r="I141" s="61">
        <f t="shared" si="14"/>
        <v>0</v>
      </c>
    </row>
    <row r="142" spans="1:9" s="2" customFormat="1" ht="18.75" hidden="1">
      <c r="A142" s="18" t="s">
        <v>97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92</v>
      </c>
      <c r="B143" s="73">
        <v>33238.5</v>
      </c>
      <c r="C143" s="53">
        <f>16744+15000+2000-2607.4+8610.1+1327.3</f>
        <v>41074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</f>
        <v>28456</v>
      </c>
      <c r="E143" s="17">
        <f>D143/D107*100</f>
        <v>6.451127315001635</v>
      </c>
      <c r="F143" s="99">
        <f t="shared" si="17"/>
        <v>85.61156490214661</v>
      </c>
      <c r="G143" s="6">
        <f t="shared" si="12"/>
        <v>69.27983639285192</v>
      </c>
      <c r="H143" s="61">
        <f t="shared" si="16"/>
        <v>4782.5</v>
      </c>
      <c r="I143" s="61">
        <f t="shared" si="14"/>
        <v>12618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</f>
        <v>2110</v>
      </c>
      <c r="E145" s="17">
        <f>D145/D107*100</f>
        <v>0.4783482792610856</v>
      </c>
      <c r="F145" s="99">
        <f t="shared" si="17"/>
        <v>93.87791421961204</v>
      </c>
      <c r="G145" s="6">
        <f t="shared" si="12"/>
        <v>91.0738950276243</v>
      </c>
      <c r="H145" s="61">
        <f t="shared" si="16"/>
        <v>137.5999999999999</v>
      </c>
      <c r="I145" s="61">
        <f t="shared" si="14"/>
        <v>206.80000000000018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0.13663531180599825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v>428779.4</v>
      </c>
      <c r="C147" s="53">
        <v>473452.9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</f>
        <v>363394.70000000007</v>
      </c>
      <c r="E147" s="17">
        <f>D147/D107*100</f>
        <v>82.3835210604732</v>
      </c>
      <c r="F147" s="6">
        <f t="shared" si="17"/>
        <v>84.75096984603273</v>
      </c>
      <c r="G147" s="6">
        <f t="shared" si="12"/>
        <v>76.75413964092311</v>
      </c>
      <c r="H147" s="61">
        <f t="shared" si="16"/>
        <v>65384.69999999995</v>
      </c>
      <c r="I147" s="61">
        <f t="shared" si="14"/>
        <v>110058.19999999995</v>
      </c>
      <c r="K147" s="91"/>
      <c r="L147" s="38"/>
    </row>
    <row r="148" spans="1:12" s="2" customFormat="1" ht="18.75">
      <c r="A148" s="16" t="s">
        <v>94</v>
      </c>
      <c r="B148" s="73">
        <v>24168</v>
      </c>
      <c r="C148" s="53">
        <v>29001.6</v>
      </c>
      <c r="D148" s="76">
        <f>805.6+805.6+805.6+805.6+805.6+805.6+805.6+805.6+805.6+805.6+805.6+805.6+805.6+805.6+805.6+805.6+805.6+805.6+805.6+805.6+805.6+805.6+805.6+805.6+805.6+805.6+805.6</f>
        <v>21751.199999999997</v>
      </c>
      <c r="E148" s="17">
        <f>D148/D107*100</f>
        <v>4.931113313679489</v>
      </c>
      <c r="F148" s="6">
        <f t="shared" si="15"/>
        <v>89.99999999999999</v>
      </c>
      <c r="G148" s="6">
        <f t="shared" si="12"/>
        <v>74.99999999999999</v>
      </c>
      <c r="H148" s="61">
        <f t="shared" si="16"/>
        <v>2416.800000000003</v>
      </c>
      <c r="I148" s="61">
        <f t="shared" si="14"/>
        <v>7250.4000000000015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531781.9000000001</v>
      </c>
      <c r="C149" s="77">
        <f>C43+C69+C72+C77+C79+C87+C102+C107+C100+C84+C98</f>
        <v>600496.2</v>
      </c>
      <c r="D149" s="53">
        <f>D43+D69+D72+D77+D79+D87+D102+D107+D100+D84+D98</f>
        <v>447689.20000000007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1299729.8</v>
      </c>
      <c r="C150" s="47">
        <f>C6+C18+C33+C43+C51+C59+C69+C72+C77+C79+C87+C90+C95+C102+C107+C100+C84+C98+C45</f>
        <v>1531340.7999999998</v>
      </c>
      <c r="D150" s="47">
        <f>D6+D18+D33+D43+D51+D59+D69+D72+D77+D79+D87+D90+D95+D102+D107+D100+D84+D98+D45</f>
        <v>1085262.9</v>
      </c>
      <c r="E150" s="31">
        <v>100</v>
      </c>
      <c r="F150" s="3">
        <f>D150/B150*100</f>
        <v>83.4991165086774</v>
      </c>
      <c r="G150" s="3">
        <f aca="true" t="shared" si="18" ref="G150:G156">D150/C150*100</f>
        <v>70.87010938388111</v>
      </c>
      <c r="H150" s="47">
        <f aca="true" t="shared" si="19" ref="H150:H156">B150-D150</f>
        <v>214466.90000000014</v>
      </c>
      <c r="I150" s="47">
        <f aca="true" t="shared" si="20" ref="I150:I156">C150-D150</f>
        <v>446077.8999999999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505627.8</v>
      </c>
      <c r="C151" s="60">
        <f>C8+C20+C34+C52+C60+C91+C115+C119+C46+C139+C131+C103</f>
        <v>608055.8999999997</v>
      </c>
      <c r="D151" s="60">
        <f>D8+D20+D34+D52+D60+D91+D115+D119+D46+D139+D131+D103</f>
        <v>446261.99999999977</v>
      </c>
      <c r="E151" s="6">
        <f>D151/D150*100</f>
        <v>41.12017465998329</v>
      </c>
      <c r="F151" s="6">
        <f aca="true" t="shared" si="21" ref="F151:F156">D151/B151*100</f>
        <v>88.25899208864698</v>
      </c>
      <c r="G151" s="6">
        <f t="shared" si="18"/>
        <v>73.39160758081617</v>
      </c>
      <c r="H151" s="61">
        <f t="shared" si="19"/>
        <v>59365.80000000022</v>
      </c>
      <c r="I151" s="72">
        <f t="shared" si="20"/>
        <v>161793.8999999999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88059.10000000002</v>
      </c>
      <c r="C152" s="61">
        <f>C11+C23+C36+C55+C62+C92+C49+C140+C109+C112+C96+C137</f>
        <v>121965.20000000001</v>
      </c>
      <c r="D152" s="61">
        <f>D11+D23+D36+D55+D62+D92+D49+D140+D109+D112+D96+D137</f>
        <v>56212.50000000001</v>
      </c>
      <c r="E152" s="6">
        <f>D152/D150*100</f>
        <v>5.179620532499546</v>
      </c>
      <c r="F152" s="6">
        <f t="shared" si="21"/>
        <v>63.83496992360812</v>
      </c>
      <c r="G152" s="6">
        <f t="shared" si="18"/>
        <v>46.088966360896386</v>
      </c>
      <c r="H152" s="61">
        <f t="shared" si="19"/>
        <v>31846.600000000013</v>
      </c>
      <c r="I152" s="72">
        <f t="shared" si="20"/>
        <v>65752.70000000001</v>
      </c>
      <c r="K152" s="39"/>
      <c r="L152" s="90"/>
    </row>
    <row r="153" spans="1:12" ht="18.75">
      <c r="A153" s="18" t="s">
        <v>1</v>
      </c>
      <c r="B153" s="60">
        <f>B22+B10+B54+B48+B61+B35+B123</f>
        <v>29702.2</v>
      </c>
      <c r="C153" s="60">
        <f>C22+C10+C54+C48+C61+C35+C123</f>
        <v>31701.800000000003</v>
      </c>
      <c r="D153" s="60">
        <f>D22+D10+D54+D48+D61+D35+D123</f>
        <v>21807.90000000001</v>
      </c>
      <c r="E153" s="6">
        <f>D153/D150*100</f>
        <v>2.009457800501612</v>
      </c>
      <c r="F153" s="6">
        <f t="shared" si="21"/>
        <v>73.42183407289698</v>
      </c>
      <c r="G153" s="6">
        <f t="shared" si="18"/>
        <v>68.79073112567742</v>
      </c>
      <c r="H153" s="61">
        <f t="shared" si="19"/>
        <v>7894.299999999992</v>
      </c>
      <c r="I153" s="72">
        <f t="shared" si="20"/>
        <v>9893.899999999994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24404.5</v>
      </c>
      <c r="C154" s="60">
        <f>C12+C24+C104+C63+C38+C93+C129+C56</f>
        <v>29372.4</v>
      </c>
      <c r="D154" s="60">
        <f>D12+D24+D104+D63+D38+D93+D129+D56</f>
        <v>18203.300000000003</v>
      </c>
      <c r="E154" s="6">
        <f>D154/D150*100</f>
        <v>1.6773170814187055</v>
      </c>
      <c r="F154" s="6">
        <f t="shared" si="21"/>
        <v>74.58993218463809</v>
      </c>
      <c r="G154" s="6">
        <f t="shared" si="18"/>
        <v>61.97416622407431</v>
      </c>
      <c r="H154" s="61">
        <f t="shared" si="19"/>
        <v>6201.199999999997</v>
      </c>
      <c r="I154" s="72">
        <f t="shared" si="20"/>
        <v>11169.099999999999</v>
      </c>
      <c r="K154" s="39"/>
      <c r="L154" s="90"/>
    </row>
    <row r="155" spans="1:12" ht="18.75">
      <c r="A155" s="18" t="s">
        <v>2</v>
      </c>
      <c r="B155" s="60">
        <f>B9+B21+B47+B53+B122</f>
        <v>20427.999999999996</v>
      </c>
      <c r="C155" s="60">
        <f>C9+C21+C47+C53+C122</f>
        <v>22288.699999999997</v>
      </c>
      <c r="D155" s="60">
        <f>D9+D21+D47+D53+D122</f>
        <v>16573.3</v>
      </c>
      <c r="E155" s="6">
        <f>D155/D150*100</f>
        <v>1.5271230593066436</v>
      </c>
      <c r="F155" s="6">
        <f t="shared" si="21"/>
        <v>81.13031133738008</v>
      </c>
      <c r="G155" s="6">
        <f t="shared" si="18"/>
        <v>74.3574098085577</v>
      </c>
      <c r="H155" s="61">
        <f t="shared" si="19"/>
        <v>3854.699999999997</v>
      </c>
      <c r="I155" s="72">
        <f t="shared" si="20"/>
        <v>5715.399999999998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631508.2000000001</v>
      </c>
      <c r="C156" s="78">
        <f>C150-C151-C152-C153-C154-C155</f>
        <v>717956.8000000002</v>
      </c>
      <c r="D156" s="78">
        <f>D150-D151-D152-D153-D154-D155</f>
        <v>526203.9</v>
      </c>
      <c r="E156" s="36">
        <f>D156/D150*100</f>
        <v>48.48630686629019</v>
      </c>
      <c r="F156" s="36">
        <f t="shared" si="21"/>
        <v>83.32495128329292</v>
      </c>
      <c r="G156" s="36">
        <f t="shared" si="18"/>
        <v>73.29186101447885</v>
      </c>
      <c r="H156" s="127">
        <f t="shared" si="19"/>
        <v>105304.30000000005</v>
      </c>
      <c r="I156" s="127">
        <f t="shared" si="20"/>
        <v>191752.90000000014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2" right="0.16" top="0.2" bottom="0.19" header="0.17" footer="0.18"/>
  <pageSetup fitToHeight="1" fitToWidth="1" horizontalDpi="600" verticalDpi="600" orientation="portrait" paperSize="9" scale="3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1531340.7999999998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1085262.9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1531340.7999999998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1085262.9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2016-10-03T10:02:07Z</cp:lastPrinted>
  <dcterms:created xsi:type="dcterms:W3CDTF">2000-06-20T04:48:00Z</dcterms:created>
  <dcterms:modified xsi:type="dcterms:W3CDTF">2016-10-03T11:30:05Z</dcterms:modified>
  <cp:category/>
  <cp:version/>
  <cp:contentType/>
  <cp:contentStatus/>
</cp:coreProperties>
</file>